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<sst xmlns="http://schemas.openxmlformats.org/spreadsheetml/2006/main" count="1626" uniqueCount="268">
  <si>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</si>
  <si>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</si>
  <si>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</si>
  <si>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</si>
  <si>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</si>
  <si>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</si>
  <si>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</si>
  <si>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</si>
  <si>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</si>
  <si>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</si>
  <si>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</si>
  <si>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</si>
  <si>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</si>
  <si>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</si>
  <si>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</si>
  <si>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</si>
  <si>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</si>
  <si>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</si>
  <si>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</si>
  <si>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</si>
  <si>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</si>
  <si>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</si>
  <si>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</si>
  <si>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</si>
  <si>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</si>
  <si>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</si>
  <si>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</si>
  <si>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</si>
  <si>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</si>
  <si>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</si>
  <si>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</si>
  <si>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</si>
  <si>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</si>
  <si>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</si>
  <si>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</si>
  <si>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</si>
  <si>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</si>
  <si>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</si>
  <si>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</si>
  <si>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</si>
  <si>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</si>
  <si>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</si>
  <si>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</si>
  <si>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</si>
  <si>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</si>
  <si>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</si>
  <si>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</si>
  <si>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</si>
  <si>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</si>
  <si>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</si>
  <si>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</si>
  <si>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</si>
  <si>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</si>
  <si>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</si>
  <si>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</si>
  <si>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</si>
  <si>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</si>
  <si>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</si>
  <si>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</si>
  <si>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</si>
  <si>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</si>
  <si>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</si>
  <si>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</si>
  <si>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</si>
  <si>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</si>
  <si>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</si>
  <si>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</si>
  <si>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</si>
  <si>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</si>
  <si>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</si>
  <si>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</si>
  <si>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</si>
  <si>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</si>
  <si>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</si>
  <si>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</si>
  <si>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</si>
  <si>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</si>
  <si>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</si>
  <si>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</si>
  <si>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</si>
  <si>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</si>
  <si>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</si>
  <si>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</si>
  <si>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</si>
  <si>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</si>
  <si>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</si>
  <si>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</si>
  <si>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</si>
  <si>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</si>
  <si>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</si>
  <si>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</si>
  <si>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</si>
  <si>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</si>
  <si>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</si>
  <si>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</si>
  <si>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</si>
  <si>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</si>
  <si>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</si>
  <si>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</si>
  <si>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</si>
  <si>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</si>
  <si>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</si>
  <si>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</si>
  <si>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</si>
  <si>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</si>
  <si>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</si>
  <si>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</si>
  <si>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</si>
  <si>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</si>
  <si>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</si>
  <si>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</si>
  <si>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</si>
  <si>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</si>
  <si>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</si>
  <si>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</si>
  <si>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</si>
  <si>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</si>
  <si>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</si>
  <si>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</si>
  <si>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</si>
  <si>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</si>
  <si>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</si>
  <si>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</si>
  <si>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</si>
  <si>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</si>
  <si>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</si>
  <si>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</si>
  <si>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</si>
  <si>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</si>
  <si>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</si>
  <si>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</si>
  <si>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</si>
  <si>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</si>
  <si>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</si>
  <si>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</si>
  <si>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</si>
  <si>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</si>
  <si>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</si>
  <si>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</si>
  <si>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</si>
  <si>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</si>
  <si>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</si>
  <si>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</si>
  <si>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</si>
  <si>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</si>
  <si>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</si>
  <si>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</si>
  <si>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</si>
  <si>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</si>
  <si>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</si>
  <si>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</si>
  <si>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</si>
  <si>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</si>
  <si>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</si>
  <si>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</si>
  <si>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</si>
  <si>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</si>
  <si>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</si>
  <si>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</si>
  <si>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</si>
  <si>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</si>
  <si>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</si>
  <si>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</si>
  <si>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</si>
  <si>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</si>
  <si>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</si>
  <si>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</si>
  <si>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</si>
  <si>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</si>
  <si>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</si>
  <si>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</si>
  <si>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</si>
  <si>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</si>
  <si>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</si>
  <si>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</si>
  <si>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</si>
  <si>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</si>
  <si>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</si>
  <si>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</si>
  <si>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</si>
  <si>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</si>
  <si>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</si>
  <si>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</si>
  <si>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</si>
  <si>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</si>
  <si>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</si>
  <si>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</si>
  <si>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</si>
  <si>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</si>
  <si>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</si>
  <si>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</si>
  <si>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</si>
  <si>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</si>
  <si>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</si>
  <si>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</si>
  <si>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</si>
  <si>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</si>
  <si>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</si>
  <si>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</si>
  <si>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</si>
  <si>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</si>
  <si>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</si>
  <si>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</si>
  <si>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</si>
  <si>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</si>
  <si>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</si>
  <si>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</si>
  <si>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</si>
  <si>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</si>
  <si>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</si>
  <si>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</si>
  <si>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</si>
  <si>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</si>
  <si>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</si>
  <si>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</si>
  <si>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</si>
  <si>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</si>
  <si>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</si>
  <si>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</si>
  <si>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</si>
  <si>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</si>
  <si>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</si>
  <si>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</si>
  <si>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</si>
  <si>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</si>
  <si>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</si>
  <si>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</si>
  <si>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</si>
  <si>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</si>
  <si>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</si>
  <si>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</si>
  <si>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</si>
  <si>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</si>
  <si>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</si>
  <si>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</si>
  <si>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</si>
  <si>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</si>
  <si>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</si>
  <si>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</si>
  <si>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</si>
  <si>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</si>
  <si>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</si>
  <si>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</si>
  <si>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</si>
  <si>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</si>
  <si>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</si>
  <si>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</si>
  <si>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</si>
  <si>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</si>
  <si>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</si>
  <si>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</si>
  <si>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</si>
  <si>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</si>
  <si>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</si>
  <si>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</si>
  <si>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</si>
  <si>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</si>
  <si>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</si>
  <si>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</si>
  <si>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</si>
  <si>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</si>
  <si>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</si>
  <si>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</si>
  <si>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</si>
  <si>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</si>
  <si>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</si>
  <si>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</si>
  <si>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12.08.14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</si>
</sst>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124426627.62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110601405.66</v>
          </cell>
        </row>
      </sheetData>
      <sheetData sheetId="13">
        <row r="52">
          <cell r="B52">
            <v>12641810.479999993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0" sqref="D14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267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282267.85000000003</v>
      </c>
      <c r="G8" s="22">
        <f aca="true" t="shared" si="0" ref="G8:G30">F8-E8</f>
        <v>-29745.53999999998</v>
      </c>
      <c r="H8" s="51">
        <f>F8/E8*100</f>
        <v>90.46658221943616</v>
      </c>
      <c r="I8" s="36">
        <f aca="true" t="shared" si="1" ref="I8:I17">F8-D8</f>
        <v>-206208.44999999995</v>
      </c>
      <c r="J8" s="36">
        <f aca="true" t="shared" si="2" ref="J8:J14">F8/D8*100</f>
        <v>57.78537259637776</v>
      </c>
      <c r="K8" s="36">
        <f>F8-306776.9</f>
        <v>-24509.04999999999</v>
      </c>
      <c r="L8" s="136">
        <f>F8/306776.9</f>
        <v>0.920107902518084</v>
      </c>
      <c r="M8" s="22">
        <f>M10+M19+M33+M56+M68+M30</f>
        <v>40778.67999999999</v>
      </c>
      <c r="N8" s="22">
        <f>N10+N19+N33+N56+N68+N30</f>
        <v>13142.569999999992</v>
      </c>
      <c r="O8" s="36">
        <f aca="true" t="shared" si="3" ref="O8:O71">N8-M8</f>
        <v>-27636.11</v>
      </c>
      <c r="P8" s="36">
        <f>F8/M8*100</f>
        <v>692.1946713331577</v>
      </c>
      <c r="Q8" s="36">
        <f>N8-38892.4</f>
        <v>-25749.83000000001</v>
      </c>
      <c r="R8" s="134">
        <f>N8/38892.4</f>
        <v>0.3379212905349115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229715.9</v>
      </c>
      <c r="G9" s="22">
        <f t="shared" si="0"/>
        <v>229715.9</v>
      </c>
      <c r="H9" s="20"/>
      <c r="I9" s="56">
        <f t="shared" si="1"/>
        <v>-157297.30000000002</v>
      </c>
      <c r="J9" s="56">
        <f t="shared" si="2"/>
        <v>59.35608914631335</v>
      </c>
      <c r="K9" s="56"/>
      <c r="L9" s="135"/>
      <c r="M9" s="20">
        <f>M10+M17</f>
        <v>33764.899999999994</v>
      </c>
      <c r="N9" s="20">
        <f>N10+N17</f>
        <v>11830.279999999999</v>
      </c>
      <c r="O9" s="36">
        <f t="shared" si="3"/>
        <v>-21934.619999999995</v>
      </c>
      <c r="P9" s="56">
        <f>F9/M9*100</f>
        <v>680.3393464811091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229715.9</v>
      </c>
      <c r="G10" s="49">
        <f t="shared" si="0"/>
        <v>-25420.100000000006</v>
      </c>
      <c r="H10" s="40">
        <f aca="true" t="shared" si="4" ref="H10:H17">F10/E10*100</f>
        <v>90.03664712153517</v>
      </c>
      <c r="I10" s="56">
        <f t="shared" si="1"/>
        <v>-157297.30000000002</v>
      </c>
      <c r="J10" s="56">
        <f t="shared" si="2"/>
        <v>59.35608914631335</v>
      </c>
      <c r="K10" s="141">
        <f>F10-242707.3</f>
        <v>-12991.399999999994</v>
      </c>
      <c r="L10" s="142">
        <f>F10/242707.3</f>
        <v>0.94647297382485</v>
      </c>
      <c r="M10" s="40">
        <f>E10-липень!E10</f>
        <v>33764.899999999994</v>
      </c>
      <c r="N10" s="40">
        <f>F10-липень!F10</f>
        <v>11830.279999999999</v>
      </c>
      <c r="O10" s="53">
        <f t="shared" si="3"/>
        <v>-21934.619999999995</v>
      </c>
      <c r="P10" s="56">
        <f aca="true" t="shared" si="5" ref="P10:P17">N10/M10*100</f>
        <v>35.03721320069066</v>
      </c>
      <c r="Q10" s="141">
        <f>N10-31381.5</f>
        <v>-19551.22</v>
      </c>
      <c r="R10" s="142">
        <f>N10/31381.5</f>
        <v>0.3769826171470452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349.5</v>
      </c>
      <c r="G19" s="49">
        <f t="shared" si="0"/>
        <v>-696.0999999999999</v>
      </c>
      <c r="H19" s="40">
        <f aca="true" t="shared" si="6" ref="H19:H29">F19/E19*100</f>
        <v>33.42578423871462</v>
      </c>
      <c r="I19" s="56">
        <f aca="true" t="shared" si="7" ref="I19:I29">F19-D19</f>
        <v>-650.5</v>
      </c>
      <c r="J19" s="56">
        <f aca="true" t="shared" si="8" ref="J19:J29">F19/D19*100</f>
        <v>34.949999999999996</v>
      </c>
      <c r="K19" s="56">
        <f>F19-6117.2</f>
        <v>-5767.7</v>
      </c>
      <c r="L19" s="135">
        <f>F19/6117.2</f>
        <v>0.057133982867978814</v>
      </c>
      <c r="M19" s="40">
        <f>E19-липень!E19</f>
        <v>12</v>
      </c>
      <c r="N19" s="40">
        <f>F19-липень!F19</f>
        <v>0.12000000000000455</v>
      </c>
      <c r="O19" s="53">
        <f t="shared" si="3"/>
        <v>-11.879999999999995</v>
      </c>
      <c r="P19" s="56">
        <f aca="true" t="shared" si="9" ref="P19:P29">N19/M19*100</f>
        <v>1.0000000000000377</v>
      </c>
      <c r="Q19" s="56">
        <f>N19-74.4</f>
        <v>-74.28</v>
      </c>
      <c r="R19" s="135">
        <f>N19/74.4</f>
        <v>0.0016129032258065125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842.5</v>
      </c>
      <c r="G29" s="49">
        <f t="shared" si="0"/>
        <v>56.89999999999998</v>
      </c>
      <c r="H29" s="40">
        <f t="shared" si="6"/>
        <v>107.2428716904277</v>
      </c>
      <c r="I29" s="56">
        <f t="shared" si="7"/>
        <v>-87.5</v>
      </c>
      <c r="J29" s="56">
        <f t="shared" si="8"/>
        <v>90.59139784946237</v>
      </c>
      <c r="K29" s="148">
        <f>F29-2498.05</f>
        <v>-1655.5500000000002</v>
      </c>
      <c r="L29" s="149">
        <f>F29/2498.05</f>
        <v>0.33726306519084887</v>
      </c>
      <c r="M29" s="40">
        <f>E29-липень!E29</f>
        <v>52</v>
      </c>
      <c r="N29" s="40">
        <f>F29-липень!F29</f>
        <v>-8.139999999999986</v>
      </c>
      <c r="O29" s="148">
        <f t="shared" si="3"/>
        <v>-60.139999999999986</v>
      </c>
      <c r="P29" s="145">
        <f t="shared" si="9"/>
        <v>-15.653846153846127</v>
      </c>
      <c r="Q29" s="148">
        <f>N29-74.37</f>
        <v>-82.50999999999999</v>
      </c>
      <c r="R29" s="149">
        <f>N29/74.37</f>
        <v>-0.10945273631840777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3.32</v>
      </c>
      <c r="G30" s="49">
        <f t="shared" si="0"/>
        <v>-23.68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E30-липень!E30</f>
        <v>8.5</v>
      </c>
      <c r="N30" s="40">
        <f>F30-липень!F30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48140.2</v>
      </c>
      <c r="G33" s="49">
        <f aca="true" t="shared" si="14" ref="G33:G72">F33-E33</f>
        <v>-3160.590000000004</v>
      </c>
      <c r="H33" s="40">
        <f aca="true" t="shared" si="15" ref="H33:H67">F33/E33*100</f>
        <v>93.83910072340016</v>
      </c>
      <c r="I33" s="56">
        <f>F33-D33</f>
        <v>-45425.8</v>
      </c>
      <c r="J33" s="56">
        <f aca="true" t="shared" si="16" ref="J33:J72">F33/D33*100</f>
        <v>51.4505269007973</v>
      </c>
      <c r="K33" s="141">
        <f>F33-53788.3</f>
        <v>-5648.100000000006</v>
      </c>
      <c r="L33" s="142">
        <f>F33/53788.3</f>
        <v>0.8949938927238822</v>
      </c>
      <c r="M33" s="40">
        <f>E33-липень!E33</f>
        <v>6439.68</v>
      </c>
      <c r="N33" s="40">
        <f>F33-липень!F33</f>
        <v>1038.0399999999936</v>
      </c>
      <c r="O33" s="53">
        <f t="shared" si="3"/>
        <v>-5401.640000000007</v>
      </c>
      <c r="P33" s="56">
        <f aca="true" t="shared" si="17" ref="P33:P67">N33/M33*100</f>
        <v>16.119434506062312</v>
      </c>
      <c r="Q33" s="141">
        <f>N33-6951.4</f>
        <v>-5913.360000000006</v>
      </c>
      <c r="R33" s="142">
        <f>N33/6951.4</f>
        <v>0.14932819288200846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35677.8</v>
      </c>
      <c r="G55" s="144">
        <f t="shared" si="14"/>
        <v>-2112.689999999995</v>
      </c>
      <c r="H55" s="146">
        <f t="shared" si="15"/>
        <v>94.40946650863751</v>
      </c>
      <c r="I55" s="145">
        <f t="shared" si="18"/>
        <v>-34588.2</v>
      </c>
      <c r="J55" s="145">
        <f t="shared" si="16"/>
        <v>50.77533942447272</v>
      </c>
      <c r="K55" s="148">
        <f>F55-38852.08</f>
        <v>-3174.279999999999</v>
      </c>
      <c r="L55" s="149">
        <f>F55/38852.08</f>
        <v>0.9182983253406253</v>
      </c>
      <c r="M55" s="40">
        <f>E55-липень!E55</f>
        <v>4679.68</v>
      </c>
      <c r="N55" s="40">
        <f>F55-липень!F55</f>
        <v>794.9000000000015</v>
      </c>
      <c r="O55" s="148">
        <f t="shared" si="3"/>
        <v>-3884.779999999999</v>
      </c>
      <c r="P55" s="148">
        <f t="shared" si="17"/>
        <v>16.986204184901563</v>
      </c>
      <c r="Q55" s="163">
        <f>N55-5157.94</f>
        <v>-4363.039999999998</v>
      </c>
      <c r="R55" s="164">
        <f>N55/5157.94</f>
        <v>0.15411191289545856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v>4057.9</v>
      </c>
      <c r="G56" s="49">
        <f t="shared" si="14"/>
        <v>-445.99999999999955</v>
      </c>
      <c r="H56" s="40">
        <f t="shared" si="15"/>
        <v>90.09747108061903</v>
      </c>
      <c r="I56" s="56">
        <f t="shared" si="18"/>
        <v>-2802.1</v>
      </c>
      <c r="J56" s="56">
        <f t="shared" si="16"/>
        <v>59.153061224489804</v>
      </c>
      <c r="K56" s="56">
        <f>F56-4138.3</f>
        <v>-80.40000000000009</v>
      </c>
      <c r="L56" s="135">
        <f>F56/4138.3</f>
        <v>0.9805717323538651</v>
      </c>
      <c r="M56" s="40">
        <f>E56-липень!E56</f>
        <v>553.5999999999995</v>
      </c>
      <c r="N56" s="40">
        <f>F56-липень!F56</f>
        <v>274.1300000000001</v>
      </c>
      <c r="O56" s="53">
        <f t="shared" si="3"/>
        <v>-279.46999999999935</v>
      </c>
      <c r="P56" s="56">
        <f t="shared" si="17"/>
        <v>49.517702312138795</v>
      </c>
      <c r="Q56" s="56">
        <f>N56-484.9</f>
        <v>-210.76999999999987</v>
      </c>
      <c r="R56" s="135">
        <f>N56/484.9</f>
        <v>0.5653330583625492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8303.93</v>
      </c>
      <c r="G74" s="50">
        <f aca="true" t="shared" si="24" ref="G74:G92">F74-E74</f>
        <v>-2295.5699999999997</v>
      </c>
      <c r="H74" s="51">
        <f aca="true" t="shared" si="25" ref="H74:H87">F74/E74*100</f>
        <v>78.34265767253173</v>
      </c>
      <c r="I74" s="36">
        <f aca="true" t="shared" si="26" ref="I74:I92">F74-D74</f>
        <v>-10054.369999999999</v>
      </c>
      <c r="J74" s="36">
        <f aca="true" t="shared" si="27" ref="J74:J92">F74/D74*100</f>
        <v>45.232565106790936</v>
      </c>
      <c r="K74" s="36">
        <f>F74-12962.5</f>
        <v>-4658.57</v>
      </c>
      <c r="L74" s="136">
        <f>F74/12962.5</f>
        <v>0.6406117647058823</v>
      </c>
      <c r="M74" s="22">
        <f>M77+M86+M88+M89+M94+M95+M96+M97+M99+M87+M104</f>
        <v>1620.5</v>
      </c>
      <c r="N74" s="22">
        <f>N77+N86+N88+N89+N94+N95+N96+N97+N99+N32+N104+N87+N103</f>
        <v>859.7899999999997</v>
      </c>
      <c r="O74" s="55">
        <f aca="true" t="shared" si="28" ref="O74:O92">N74-M74</f>
        <v>-760.7100000000003</v>
      </c>
      <c r="P74" s="36">
        <f>N74/M74*100</f>
        <v>53.05708114779387</v>
      </c>
      <c r="Q74" s="36">
        <f>N74-1702.6</f>
        <v>-842.8100000000002</v>
      </c>
      <c r="R74" s="136">
        <f>N74/1702.6</f>
        <v>0.5049864912486783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106.5</v>
      </c>
      <c r="G77" s="49">
        <f t="shared" si="24"/>
        <v>-3.5</v>
      </c>
      <c r="H77" s="40">
        <f t="shared" si="25"/>
        <v>96.81818181818181</v>
      </c>
      <c r="I77" s="56">
        <f t="shared" si="26"/>
        <v>-393.5</v>
      </c>
      <c r="J77" s="56">
        <f t="shared" si="27"/>
        <v>21.3</v>
      </c>
      <c r="K77" s="56">
        <f>F77-1694.5</f>
        <v>-1588</v>
      </c>
      <c r="L77" s="135">
        <f>F77/1694.5</f>
        <v>0.06285039834759516</v>
      </c>
      <c r="M77" s="40">
        <f>E77-липень!E77</f>
        <v>50</v>
      </c>
      <c r="N77" s="40">
        <f>F77-липень!F77</f>
        <v>0.20999999999999375</v>
      </c>
      <c r="O77" s="53">
        <f t="shared" si="28"/>
        <v>-49.790000000000006</v>
      </c>
      <c r="P77" s="56">
        <f aca="true" t="shared" si="29" ref="P77:P87">N77/M77*100</f>
        <v>0.4199999999999875</v>
      </c>
      <c r="Q77" s="56">
        <f>N77-46.4</f>
        <v>-46.190000000000005</v>
      </c>
      <c r="R77" s="135">
        <f>N77/46.4</f>
        <v>0.004525862068965382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80</v>
      </c>
      <c r="G89" s="49">
        <f t="shared" si="24"/>
        <v>-34</v>
      </c>
      <c r="H89" s="40">
        <f>F89/E89*100</f>
        <v>70.17543859649122</v>
      </c>
      <c r="I89" s="56">
        <f t="shared" si="26"/>
        <v>-95</v>
      </c>
      <c r="J89" s="56">
        <f t="shared" si="27"/>
        <v>45.714285714285715</v>
      </c>
      <c r="K89" s="56">
        <f>F89-108.5</f>
        <v>-28.5</v>
      </c>
      <c r="L89" s="135">
        <f>F89/108.5</f>
        <v>0.7373271889400922</v>
      </c>
      <c r="M89" s="40">
        <f>E89-липень!E89</f>
        <v>15</v>
      </c>
      <c r="N89" s="40">
        <f>F89-липень!F89</f>
        <v>1.7600000000000051</v>
      </c>
      <c r="O89" s="53">
        <f t="shared" si="28"/>
        <v>-13.239999999999995</v>
      </c>
      <c r="P89" s="56">
        <f>N89/M89*100</f>
        <v>11.733333333333368</v>
      </c>
      <c r="Q89" s="56">
        <f>N89-14.5</f>
        <v>-12.739999999999995</v>
      </c>
      <c r="R89" s="135">
        <f>N89/14.5</f>
        <v>0.12137931034482793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4735.7</v>
      </c>
      <c r="G95" s="49">
        <f t="shared" si="31"/>
        <v>54.19999999999982</v>
      </c>
      <c r="H95" s="40">
        <f>F95/E95*100</f>
        <v>101.15774858485527</v>
      </c>
      <c r="I95" s="56">
        <f t="shared" si="32"/>
        <v>-2264.3</v>
      </c>
      <c r="J95" s="56">
        <f>F95/D95*100</f>
        <v>67.65285714285713</v>
      </c>
      <c r="K95" s="56">
        <f>F95-4948.3</f>
        <v>-212.60000000000036</v>
      </c>
      <c r="L95" s="135">
        <f>F95/4948.3</f>
        <v>0.9570357496513954</v>
      </c>
      <c r="M95" s="40">
        <f>E95-липень!E95</f>
        <v>575</v>
      </c>
      <c r="N95" s="40">
        <f>F95-липень!F95</f>
        <v>592.3199999999997</v>
      </c>
      <c r="O95" s="53">
        <f t="shared" si="33"/>
        <v>17.31999999999971</v>
      </c>
      <c r="P95" s="56">
        <f>N95/M95*100</f>
        <v>103.01217391304343</v>
      </c>
      <c r="Q95" s="56">
        <f>N95-696.9</f>
        <v>-104.58000000000027</v>
      </c>
      <c r="R95" s="135">
        <f>N95/696.9</f>
        <v>0.8499354283254409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570.1</v>
      </c>
      <c r="G96" s="49">
        <f t="shared" si="31"/>
        <v>-124.39999999999998</v>
      </c>
      <c r="H96" s="40">
        <f>F96/E96*100</f>
        <v>82.08783297336213</v>
      </c>
      <c r="I96" s="56">
        <f t="shared" si="32"/>
        <v>-629.9</v>
      </c>
      <c r="J96" s="56">
        <f>F96/D96*100</f>
        <v>47.50833333333333</v>
      </c>
      <c r="K96" s="56">
        <f>F96-693.4</f>
        <v>-123.29999999999995</v>
      </c>
      <c r="L96" s="135">
        <f>F96/693.4</f>
        <v>0.8221805595615806</v>
      </c>
      <c r="M96" s="40">
        <f>E96-липень!E96</f>
        <v>90</v>
      </c>
      <c r="N96" s="40">
        <f>F96-липень!F96</f>
        <v>38.690000000000055</v>
      </c>
      <c r="O96" s="53">
        <f t="shared" si="33"/>
        <v>-51.309999999999945</v>
      </c>
      <c r="P96" s="56">
        <f>N96/M96*100</f>
        <v>42.98888888888895</v>
      </c>
      <c r="Q96" s="56">
        <f>N96-90.8</f>
        <v>-52.10999999999994</v>
      </c>
      <c r="R96" s="135">
        <f>N96/90.8</f>
        <v>0.4261013215859037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2572.9</v>
      </c>
      <c r="G99" s="49">
        <f t="shared" si="31"/>
        <v>-24.09999999999991</v>
      </c>
      <c r="H99" s="40">
        <f>F99/E99*100</f>
        <v>99.07200616095496</v>
      </c>
      <c r="I99" s="56">
        <f t="shared" si="32"/>
        <v>-1999.7999999999997</v>
      </c>
      <c r="J99" s="56">
        <f>F99/D99*100</f>
        <v>56.26653836901612</v>
      </c>
      <c r="K99" s="56">
        <f>F99-2979.1</f>
        <v>-406.1999999999998</v>
      </c>
      <c r="L99" s="135">
        <f>F99/2979.1</f>
        <v>0.8636500956664765</v>
      </c>
      <c r="M99" s="40">
        <f>E99-липень!E99</f>
        <v>410</v>
      </c>
      <c r="N99" s="40">
        <f>F99-липень!F99</f>
        <v>226.80999999999995</v>
      </c>
      <c r="O99" s="53">
        <f t="shared" si="33"/>
        <v>-183.19000000000005</v>
      </c>
      <c r="P99" s="56">
        <f>N99/M99*100</f>
        <v>55.31951219512193</v>
      </c>
      <c r="Q99" s="56">
        <f>N99-355.4</f>
        <v>-128.59000000000003</v>
      </c>
      <c r="R99" s="135">
        <f>N99/355.4</f>
        <v>0.6381823297692739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576.4</v>
      </c>
      <c r="G102" s="144"/>
      <c r="H102" s="146"/>
      <c r="I102" s="145"/>
      <c r="J102" s="145"/>
      <c r="K102" s="148">
        <f>F102-421.2</f>
        <v>155.2</v>
      </c>
      <c r="L102" s="149">
        <f>F102/421.2</f>
        <v>1.3684710351377019</v>
      </c>
      <c r="M102" s="40">
        <f>E102-липень!E102</f>
        <v>0</v>
      </c>
      <c r="N102" s="40">
        <f>F102-липень!F102</f>
        <v>106.5</v>
      </c>
      <c r="O102" s="53"/>
      <c r="P102" s="60"/>
      <c r="Q102" s="60">
        <f>N102-95.6</f>
        <v>10.900000000000006</v>
      </c>
      <c r="R102" s="138">
        <f>N102/95.6</f>
        <v>1.1140167364016738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-49.9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15.6</v>
      </c>
      <c r="G105" s="49">
        <f>F105-E105</f>
        <v>-5.6</v>
      </c>
      <c r="H105" s="40">
        <f>F105/E105*100</f>
        <v>73.58490566037736</v>
      </c>
      <c r="I105" s="56">
        <f t="shared" si="34"/>
        <v>-29.4</v>
      </c>
      <c r="J105" s="56">
        <f aca="true" t="shared" si="36" ref="J105:J110">F105/D105*100</f>
        <v>34.66666666666667</v>
      </c>
      <c r="K105" s="56">
        <f>F105-13.4</f>
        <v>2.1999999999999993</v>
      </c>
      <c r="L105" s="135">
        <f>F105/13.4</f>
        <v>1.164179104477612</v>
      </c>
      <c r="M105" s="40">
        <f>E105-липень!E105</f>
        <v>3</v>
      </c>
      <c r="N105" s="40">
        <f>F105-липень!F105</f>
        <v>0.16999999999999993</v>
      </c>
      <c r="O105" s="53">
        <f t="shared" si="35"/>
        <v>-2.83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290587.46</v>
      </c>
      <c r="G107" s="50">
        <f>F107-E107</f>
        <v>-32046.630000000005</v>
      </c>
      <c r="H107" s="51">
        <f>F107/E107*100</f>
        <v>90.06719035796868</v>
      </c>
      <c r="I107" s="36">
        <f t="shared" si="34"/>
        <v>-216292.13999999996</v>
      </c>
      <c r="J107" s="36">
        <f t="shared" si="36"/>
        <v>57.328695019487874</v>
      </c>
      <c r="K107" s="36">
        <f>F107-319755.3</f>
        <v>-29167.839999999967</v>
      </c>
      <c r="L107" s="136">
        <f>F107/319755.3</f>
        <v>0.9087807457765361</v>
      </c>
      <c r="M107" s="22">
        <f>M8+M74+M105+M106</f>
        <v>42402.17999999999</v>
      </c>
      <c r="N107" s="22">
        <f>N8+N74+N105+N106</f>
        <v>14002.529999999992</v>
      </c>
      <c r="O107" s="55">
        <f t="shared" si="35"/>
        <v>-28399.65</v>
      </c>
      <c r="P107" s="36">
        <f>N107/M107*100</f>
        <v>33.02313701795519</v>
      </c>
      <c r="Q107" s="36">
        <f>N107-40595</f>
        <v>-26592.47000000001</v>
      </c>
      <c r="R107" s="136">
        <f>N107/40595</f>
        <v>0.344932380835078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230286</v>
      </c>
      <c r="G108" s="71">
        <f>G10-G18+G96</f>
        <v>-25544.500000000007</v>
      </c>
      <c r="H108" s="72">
        <f>F108/E108*100</f>
        <v>90.015068570792</v>
      </c>
      <c r="I108" s="52">
        <f t="shared" si="34"/>
        <v>-157927.2</v>
      </c>
      <c r="J108" s="52">
        <f t="shared" si="36"/>
        <v>59.3194667260155</v>
      </c>
      <c r="K108" s="52">
        <f>F108-243489.6</f>
        <v>-13203.600000000006</v>
      </c>
      <c r="L108" s="137">
        <f>F108/243489.6</f>
        <v>0.9457734539791433</v>
      </c>
      <c r="M108" s="71">
        <f>M10-M18+M96</f>
        <v>33854.899999999994</v>
      </c>
      <c r="N108" s="71">
        <f>N10-N18+N96</f>
        <v>11868.97</v>
      </c>
      <c r="O108" s="53">
        <f t="shared" si="35"/>
        <v>-21985.929999999993</v>
      </c>
      <c r="P108" s="52">
        <f>N108/M108*100</f>
        <v>35.05835196677587</v>
      </c>
      <c r="Q108" s="52">
        <f>N108-31472.4</f>
        <v>-19603.43</v>
      </c>
      <c r="R108" s="137">
        <f>N108/31472.4</f>
        <v>0.37712313010764986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60301.46000000002</v>
      </c>
      <c r="G109" s="62">
        <f>F109-E109</f>
        <v>-6502.130000000005</v>
      </c>
      <c r="H109" s="72">
        <f>F109/E109*100</f>
        <v>90.26679554197611</v>
      </c>
      <c r="I109" s="52">
        <f t="shared" si="34"/>
        <v>-58364.939999999944</v>
      </c>
      <c r="J109" s="52">
        <f t="shared" si="36"/>
        <v>50.81595127180064</v>
      </c>
      <c r="K109" s="52">
        <f>F109-76265.7</f>
        <v>-15964.239999999976</v>
      </c>
      <c r="L109" s="137">
        <f>F109/76265.7</f>
        <v>0.7906760181837972</v>
      </c>
      <c r="M109" s="71">
        <f>M107-M108</f>
        <v>8547.279999999999</v>
      </c>
      <c r="N109" s="71">
        <f>N107-N108</f>
        <v>2133.559999999992</v>
      </c>
      <c r="O109" s="53">
        <f t="shared" si="35"/>
        <v>-6413.720000000007</v>
      </c>
      <c r="P109" s="52">
        <f>N109/M109*100</f>
        <v>24.96185921135136</v>
      </c>
      <c r="Q109" s="52">
        <f>N109-9122.6</f>
        <v>-6989.040000000008</v>
      </c>
      <c r="R109" s="137">
        <f>N109/9122.6</f>
        <v>0.2338763071931239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230286</v>
      </c>
      <c r="G110" s="111">
        <f>F110-E110</f>
        <v>-20174.600000000006</v>
      </c>
      <c r="H110" s="72">
        <f>F110/E110*100</f>
        <v>91.94500053102165</v>
      </c>
      <c r="I110" s="81">
        <f t="shared" si="34"/>
        <v>-157927.2</v>
      </c>
      <c r="J110" s="52">
        <f t="shared" si="36"/>
        <v>59.3194667260155</v>
      </c>
      <c r="K110" s="52"/>
      <c r="L110" s="137"/>
      <c r="M110" s="72">
        <f>E110-липень!E110</f>
        <v>33854.899999999994</v>
      </c>
      <c r="N110" s="71">
        <f>N108</f>
        <v>11868.97</v>
      </c>
      <c r="O110" s="63">
        <f t="shared" si="35"/>
        <v>-21985.929999999993</v>
      </c>
      <c r="P110" s="52">
        <f>N110/M110*100</f>
        <v>35.05835196677587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</v>
      </c>
      <c r="G114" s="49">
        <f aca="true" t="shared" si="37" ref="G114:G126">F114-E114</f>
        <v>-0.9</v>
      </c>
      <c r="H114" s="40"/>
      <c r="I114" s="60">
        <f aca="true" t="shared" si="38" ref="I114:I125">F114-D114</f>
        <v>-0.9</v>
      </c>
      <c r="J114" s="60"/>
      <c r="K114" s="60">
        <f>F114-20.7</f>
        <v>-21.599999999999998</v>
      </c>
      <c r="L114" s="138">
        <f>F114/20.7</f>
        <v>-0.04347826086956522</v>
      </c>
      <c r="M114" s="40">
        <f>E114-липень!E114</f>
        <v>0</v>
      </c>
      <c r="N114" s="40">
        <f>F114-липень!F114</f>
        <v>0.23999999999999988</v>
      </c>
      <c r="O114" s="53"/>
      <c r="P114" s="60"/>
      <c r="Q114" s="60">
        <f>N114-7.2</f>
        <v>-6.96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879.7</v>
      </c>
      <c r="G115" s="49">
        <f t="shared" si="37"/>
        <v>-1472.3999999999999</v>
      </c>
      <c r="H115" s="40">
        <f aca="true" t="shared" si="39" ref="H115:H126">F115/E115*100</f>
        <v>37.40062072190808</v>
      </c>
      <c r="I115" s="60">
        <f t="shared" si="38"/>
        <v>-2791.8</v>
      </c>
      <c r="J115" s="60">
        <f aca="true" t="shared" si="40" ref="J115:J121">F115/D115*100</f>
        <v>23.960234236688002</v>
      </c>
      <c r="K115" s="60">
        <f>F115-2927.1</f>
        <v>-2047.3999999999999</v>
      </c>
      <c r="L115" s="138">
        <f>F115/2927.1</f>
        <v>0.3005363670527143</v>
      </c>
      <c r="M115" s="40">
        <f>E115-липень!E115</f>
        <v>327.5</v>
      </c>
      <c r="N115" s="40">
        <f>F115-липень!F115</f>
        <v>66.35000000000002</v>
      </c>
      <c r="O115" s="53">
        <f aca="true" t="shared" si="41" ref="O115:O126">N115-M115</f>
        <v>-261.15</v>
      </c>
      <c r="P115" s="60">
        <f>N115/M115*100</f>
        <v>20.25954198473283</v>
      </c>
      <c r="Q115" s="60">
        <f>N115-728.3</f>
        <v>-661.9499999999999</v>
      </c>
      <c r="R115" s="138">
        <f>N115/728.3</f>
        <v>0.09110256762323223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199.9</v>
      </c>
      <c r="G116" s="49">
        <f t="shared" si="37"/>
        <v>21.400000000000006</v>
      </c>
      <c r="H116" s="40">
        <f t="shared" si="39"/>
        <v>111.98879551820728</v>
      </c>
      <c r="I116" s="60">
        <f t="shared" si="38"/>
        <v>-68.20000000000002</v>
      </c>
      <c r="J116" s="60">
        <f t="shared" si="40"/>
        <v>74.56173069750093</v>
      </c>
      <c r="K116" s="60">
        <f>F116-175.7</f>
        <v>24.200000000000017</v>
      </c>
      <c r="L116" s="138">
        <f>F116/175.7</f>
        <v>1.1377347751849745</v>
      </c>
      <c r="M116" s="40">
        <f>E116-липень!E116</f>
        <v>22</v>
      </c>
      <c r="N116" s="40">
        <f>F116-липень!F116</f>
        <v>16.560000000000002</v>
      </c>
      <c r="O116" s="53">
        <f t="shared" si="41"/>
        <v>-5.439999999999998</v>
      </c>
      <c r="P116" s="60">
        <f>N116/M116*100</f>
        <v>75.27272727272728</v>
      </c>
      <c r="Q116" s="60">
        <f>N116-21.9</f>
        <v>-5.339999999999996</v>
      </c>
      <c r="R116" s="138">
        <f>N116/21.9</f>
        <v>0.756164383561644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1078.7</v>
      </c>
      <c r="G117" s="62">
        <f t="shared" si="37"/>
        <v>-1451.8999999999999</v>
      </c>
      <c r="H117" s="72">
        <f t="shared" si="39"/>
        <v>42.626254643167634</v>
      </c>
      <c r="I117" s="61">
        <f t="shared" si="38"/>
        <v>-2860.8999999999996</v>
      </c>
      <c r="J117" s="61">
        <f t="shared" si="40"/>
        <v>27.380952380952383</v>
      </c>
      <c r="K117" s="61">
        <f>F117-3123.4</f>
        <v>-2044.7</v>
      </c>
      <c r="L117" s="139">
        <f>F117/3123.4</f>
        <v>0.34536082474226804</v>
      </c>
      <c r="M117" s="62">
        <f>M115+M116+M114</f>
        <v>349.5</v>
      </c>
      <c r="N117" s="38">
        <f>SUM(N114:N116)</f>
        <v>83.15000000000002</v>
      </c>
      <c r="O117" s="61">
        <f t="shared" si="41"/>
        <v>-266.34999999999997</v>
      </c>
      <c r="P117" s="61">
        <f>N117/M117*100</f>
        <v>23.791130185979977</v>
      </c>
      <c r="Q117" s="61">
        <f>N117-757.4</f>
        <v>-674.25</v>
      </c>
      <c r="R117" s="139">
        <f>N117/757.4</f>
        <v>0.1097834697649855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260.7</v>
      </c>
      <c r="G119" s="49">
        <f t="shared" si="37"/>
        <v>78.19999999999999</v>
      </c>
      <c r="H119" s="40">
        <f t="shared" si="39"/>
        <v>142.84931506849315</v>
      </c>
      <c r="I119" s="60">
        <f t="shared" si="38"/>
        <v>-6.5</v>
      </c>
      <c r="J119" s="60">
        <f t="shared" si="40"/>
        <v>97.56736526946108</v>
      </c>
      <c r="K119" s="60">
        <f>F119-173.1</f>
        <v>87.6</v>
      </c>
      <c r="L119" s="138">
        <f>F119/173.1</f>
        <v>1.5060658578856152</v>
      </c>
      <c r="M119" s="40">
        <f>E119-липень!E119</f>
        <v>0</v>
      </c>
      <c r="N119" s="40">
        <f>F119-липень!F119</f>
        <v>1.6299999999999955</v>
      </c>
      <c r="O119" s="53">
        <f>N119-M119</f>
        <v>1.6299999999999955</v>
      </c>
      <c r="P119" s="60" t="e">
        <f>N119/M119*100</f>
        <v>#DIV/0!</v>
      </c>
      <c r="Q119" s="60">
        <f>N119-0.4</f>
        <v>1.2299999999999955</v>
      </c>
      <c r="R119" s="138">
        <f>N119/0.4</f>
        <v>4.074999999999989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50300.7</v>
      </c>
      <c r="G120" s="49">
        <f t="shared" si="37"/>
        <v>888.0999999999985</v>
      </c>
      <c r="H120" s="40">
        <f t="shared" si="39"/>
        <v>101.79731485491554</v>
      </c>
      <c r="I120" s="53">
        <f t="shared" si="38"/>
        <v>-21675.290000000008</v>
      </c>
      <c r="J120" s="60">
        <f t="shared" si="40"/>
        <v>69.88538816902691</v>
      </c>
      <c r="K120" s="60">
        <f>F120-47624.2</f>
        <v>2676.5</v>
      </c>
      <c r="L120" s="138">
        <f>F120/47624.2</f>
        <v>1.056200419114652</v>
      </c>
      <c r="M120" s="40">
        <f>E120-липень!E120</f>
        <v>8100</v>
      </c>
      <c r="N120" s="40">
        <f>F120-липень!F120</f>
        <v>4090.969999999994</v>
      </c>
      <c r="O120" s="53">
        <f t="shared" si="41"/>
        <v>-4009.030000000006</v>
      </c>
      <c r="P120" s="60">
        <f aca="true" t="shared" si="42" ref="P120:P125">N120/M120*100</f>
        <v>50.50580246913573</v>
      </c>
      <c r="Q120" s="60">
        <f>N120-7964.9</f>
        <v>-3873.9300000000057</v>
      </c>
      <c r="R120" s="138">
        <f>N120/7964.9</f>
        <v>0.5136247787166184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1678.13</v>
      </c>
      <c r="G121" s="49">
        <f t="shared" si="37"/>
        <v>-44.86999999999989</v>
      </c>
      <c r="H121" s="40">
        <f t="shared" si="39"/>
        <v>97.39582124201974</v>
      </c>
      <c r="I121" s="60">
        <f t="shared" si="38"/>
        <v>-8321.869999999999</v>
      </c>
      <c r="J121" s="60">
        <f t="shared" si="40"/>
        <v>16.7813</v>
      </c>
      <c r="K121" s="60">
        <f>F121-1122.3</f>
        <v>555.8300000000002</v>
      </c>
      <c r="L121" s="138">
        <f>F121/1122.3</f>
        <v>1.4952597344738485</v>
      </c>
      <c r="M121" s="40">
        <f>E121-липень!E121</f>
        <v>40</v>
      </c>
      <c r="N121" s="40">
        <f>F121-липень!F121</f>
        <v>0</v>
      </c>
      <c r="O121" s="53">
        <f t="shared" si="41"/>
        <v>-40</v>
      </c>
      <c r="P121" s="60">
        <f t="shared" si="42"/>
        <v>0</v>
      </c>
      <c r="Q121" s="60">
        <f>N121-1.4</f>
        <v>-1.4</v>
      </c>
      <c r="R121" s="138">
        <f>N121/1.4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2237.5</v>
      </c>
      <c r="G122" s="49">
        <f t="shared" si="37"/>
        <v>-7376.5</v>
      </c>
      <c r="H122" s="40">
        <f t="shared" si="39"/>
        <v>23.273351362596216</v>
      </c>
      <c r="I122" s="60">
        <f t="shared" si="38"/>
        <v>-20840.5</v>
      </c>
      <c r="J122" s="60">
        <f>F122/D122*100</f>
        <v>9.695380882225496</v>
      </c>
      <c r="K122" s="60">
        <f>F122-14737.3</f>
        <v>-12499.8</v>
      </c>
      <c r="L122" s="138">
        <f>F122/14737.3</f>
        <v>0.1518256397033378</v>
      </c>
      <c r="M122" s="40">
        <f>E122-липень!E122</f>
        <v>2381.5</v>
      </c>
      <c r="N122" s="40">
        <f>F122-липень!F122</f>
        <v>1.5300000000002</v>
      </c>
      <c r="O122" s="53">
        <f t="shared" si="41"/>
        <v>-2379.97</v>
      </c>
      <c r="P122" s="60">
        <f t="shared" si="42"/>
        <v>0.06424522359858073</v>
      </c>
      <c r="Q122" s="60">
        <f>N122-560</f>
        <v>-558.4699999999998</v>
      </c>
      <c r="R122" s="138">
        <f>N122/560</f>
        <v>0.0027321428571432144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764.6</v>
      </c>
      <c r="G123" s="49">
        <f t="shared" si="37"/>
        <v>-477.0300000000001</v>
      </c>
      <c r="H123" s="40">
        <f t="shared" si="39"/>
        <v>61.58034196982997</v>
      </c>
      <c r="I123" s="60">
        <f t="shared" si="38"/>
        <v>-1235.4</v>
      </c>
      <c r="J123" s="60">
        <f>F123/D123*100</f>
        <v>38.230000000000004</v>
      </c>
      <c r="K123" s="60">
        <f>F123-1640.1</f>
        <v>-875.4999999999999</v>
      </c>
      <c r="L123" s="138">
        <f>F123/1640.1</f>
        <v>0.4661910859093958</v>
      </c>
      <c r="M123" s="40">
        <f>E123-липень!E123</f>
        <v>189.59000000000015</v>
      </c>
      <c r="N123" s="40">
        <f>F123-липень!F123</f>
        <v>0.37999999999999545</v>
      </c>
      <c r="O123" s="53">
        <f t="shared" si="41"/>
        <v>-189.21000000000015</v>
      </c>
      <c r="P123" s="60">
        <f t="shared" si="42"/>
        <v>0.20043251226330247</v>
      </c>
      <c r="Q123" s="60">
        <f>N123-290.7</f>
        <v>-290.32</v>
      </c>
      <c r="R123" s="138">
        <f>N123/290.7</f>
        <v>0.0013071895424836446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55241.62999999999</v>
      </c>
      <c r="G124" s="62">
        <f t="shared" si="37"/>
        <v>-6932.100000000006</v>
      </c>
      <c r="H124" s="72">
        <f t="shared" si="39"/>
        <v>88.85043570652749</v>
      </c>
      <c r="I124" s="61">
        <f t="shared" si="38"/>
        <v>-52079.56000000001</v>
      </c>
      <c r="J124" s="61">
        <f>F124/D124*100</f>
        <v>51.47318064587244</v>
      </c>
      <c r="K124" s="61">
        <f>F124-65296.9</f>
        <v>-10055.270000000011</v>
      </c>
      <c r="L124" s="139">
        <f>F124/65296.9</f>
        <v>0.8460069314163458</v>
      </c>
      <c r="M124" s="62">
        <f>M120+M121+M122+M123+M119</f>
        <v>10711.09</v>
      </c>
      <c r="N124" s="62">
        <f>N120+N121+N122+N123+N119</f>
        <v>4094.5099999999943</v>
      </c>
      <c r="O124" s="61">
        <f t="shared" si="41"/>
        <v>-6616.580000000005</v>
      </c>
      <c r="P124" s="61">
        <f t="shared" si="42"/>
        <v>38.22682845536723</v>
      </c>
      <c r="Q124" s="61">
        <f>N124-8817.5</f>
        <v>-4722.990000000005</v>
      </c>
      <c r="R124" s="139">
        <f>N124/8817.5</f>
        <v>0.4643617805500419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5321.4</v>
      </c>
      <c r="G128" s="49">
        <f aca="true" t="shared" si="43" ref="G128:G135">F128-E128</f>
        <v>-1396.1000000000004</v>
      </c>
      <c r="H128" s="40">
        <f>F128/E128*100</f>
        <v>79.21697059918124</v>
      </c>
      <c r="I128" s="60">
        <f aca="true" t="shared" si="44" ref="I128:I135">F128-D128</f>
        <v>-3378.6000000000004</v>
      </c>
      <c r="J128" s="60">
        <f>F128/D128*100</f>
        <v>61.165517241379305</v>
      </c>
      <c r="K128" s="60">
        <f>F128-8680.2</f>
        <v>-3358.800000000001</v>
      </c>
      <c r="L128" s="138">
        <f>F128/8680.2</f>
        <v>0.6130503905439966</v>
      </c>
      <c r="M128" s="40">
        <f>E128-липень!E128</f>
        <v>1702</v>
      </c>
      <c r="N128" s="40">
        <f>F128-липень!F128</f>
        <v>13.229999999999563</v>
      </c>
      <c r="O128" s="53">
        <f aca="true" t="shared" si="45" ref="O128:O135">N128-M128</f>
        <v>-1688.7700000000004</v>
      </c>
      <c r="P128" s="60">
        <f>N128/M128*100</f>
        <v>0.7773207990599038</v>
      </c>
      <c r="Q128" s="60">
        <f>N128-2359.4</f>
        <v>-2346.1700000000005</v>
      </c>
      <c r="R128" s="162">
        <f>N128/2359.4</f>
        <v>0.005607357802831043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F129-0.3</f>
        <v>0.22000000000000003</v>
      </c>
      <c r="L129" s="138">
        <f>F129/0.3</f>
        <v>1.7333333333333334</v>
      </c>
      <c r="M129" s="40">
        <f>E129-липень!E129</f>
        <v>0</v>
      </c>
      <c r="N129" s="40">
        <f>F129-липень!F129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5355.57</v>
      </c>
      <c r="G130" s="62">
        <f t="shared" si="43"/>
        <v>-1392.29</v>
      </c>
      <c r="H130" s="72">
        <f>F130/E130*100</f>
        <v>79.3669400372859</v>
      </c>
      <c r="I130" s="61">
        <f t="shared" si="44"/>
        <v>-3395.130000000001</v>
      </c>
      <c r="J130" s="61">
        <f>F130/D130*100</f>
        <v>61.20161815626177</v>
      </c>
      <c r="K130" s="61">
        <f>F130-8800.6</f>
        <v>-3445.0300000000007</v>
      </c>
      <c r="L130" s="139">
        <f>G130/8800.6</f>
        <v>-0.15820398609185737</v>
      </c>
      <c r="M130" s="62">
        <f>M125+M128+M129+M127</f>
        <v>1706</v>
      </c>
      <c r="N130" s="62">
        <f>N125+N128+N129+N127</f>
        <v>13.229999999999563</v>
      </c>
      <c r="O130" s="61">
        <f t="shared" si="45"/>
        <v>-1692.7700000000004</v>
      </c>
      <c r="P130" s="61">
        <f>N130/M130*100</f>
        <v>0.7754982415005606</v>
      </c>
      <c r="Q130" s="61">
        <f>N130-2362.3</f>
        <v>-2349.0700000000006</v>
      </c>
      <c r="R130" s="137">
        <f>N130/2362.3</f>
        <v>0.0056004741142105414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61698.29999999999</v>
      </c>
      <c r="G134" s="50">
        <f t="shared" si="43"/>
        <v>-9770.340000000011</v>
      </c>
      <c r="H134" s="51">
        <f>F134/E134*100</f>
        <v>86.32919277602035</v>
      </c>
      <c r="I134" s="36">
        <f t="shared" si="44"/>
        <v>-58343.19000000002</v>
      </c>
      <c r="J134" s="36">
        <f>F134/D134*100</f>
        <v>51.39747932152458</v>
      </c>
      <c r="K134" s="36">
        <f>F134-77238.6</f>
        <v>-15540.300000000017</v>
      </c>
      <c r="L134" s="136">
        <f>F134/77238.6</f>
        <v>0.7988013765138154</v>
      </c>
      <c r="M134" s="31">
        <f>M117+M131+M124+M130+M133+M132</f>
        <v>12766.99</v>
      </c>
      <c r="N134" s="31">
        <f>N117+N131+N124+N130+N133+N132</f>
        <v>4190.889999999994</v>
      </c>
      <c r="O134" s="36">
        <f t="shared" si="45"/>
        <v>-8576.100000000006</v>
      </c>
      <c r="P134" s="36">
        <f>N134/M134*100</f>
        <v>32.8259832583874</v>
      </c>
      <c r="Q134" s="36">
        <f>N134-11937.6</f>
        <v>-7746.710000000006</v>
      </c>
      <c r="R134" s="136">
        <f>N134/11937.6</f>
        <v>0.3510663785015408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352285.76</v>
      </c>
      <c r="G135" s="50">
        <f t="shared" si="43"/>
        <v>-41816.97000000003</v>
      </c>
      <c r="H135" s="51">
        <f>F135/E135*100</f>
        <v>89.38932242362289</v>
      </c>
      <c r="I135" s="36">
        <f t="shared" si="44"/>
        <v>-274635.32999999996</v>
      </c>
      <c r="J135" s="36">
        <f>F135/D135*100</f>
        <v>56.19299870738118</v>
      </c>
      <c r="K135" s="36">
        <f>F135-396993.9</f>
        <v>-44708.140000000014</v>
      </c>
      <c r="L135" s="136">
        <f>F135/396993.9</f>
        <v>0.887383307400945</v>
      </c>
      <c r="M135" s="22">
        <f>M107+M134</f>
        <v>55169.16999999999</v>
      </c>
      <c r="N135" s="22">
        <f>N107+N134</f>
        <v>18193.419999999984</v>
      </c>
      <c r="O135" s="36">
        <f t="shared" si="45"/>
        <v>-36975.75000000001</v>
      </c>
      <c r="P135" s="36">
        <f>N135/M135*100</f>
        <v>32.97751262163268</v>
      </c>
      <c r="Q135" s="36">
        <f>N135-52532.5</f>
        <v>-34339.080000000016</v>
      </c>
      <c r="R135" s="136">
        <f>N135/52532.5</f>
        <v>0.34632694046542584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12</v>
      </c>
      <c r="D137" s="4" t="s">
        <v>118</v>
      </c>
    </row>
    <row r="138" spans="2:17" ht="31.5">
      <c r="B138" s="78" t="s">
        <v>154</v>
      </c>
      <c r="C138" s="39">
        <f>IF(O107&lt;0,ABS(O107/C137),0)</f>
        <v>2366.6375000000003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41863</v>
      </c>
      <c r="D139" s="39">
        <v>794.3</v>
      </c>
      <c r="N139" s="179"/>
      <c r="O139" s="179"/>
    </row>
    <row r="140" spans="3:15" ht="15.75">
      <c r="C140" s="120">
        <v>41862</v>
      </c>
      <c r="D140" s="39">
        <v>746.6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41859</v>
      </c>
      <c r="D141" s="39">
        <v>1079.4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'[1]залишки  (2)'!$G$6/1000</f>
        <v>124426.62762</v>
      </c>
      <c r="E143" s="80"/>
      <c r="F143" s="100" t="s">
        <v>147</v>
      </c>
      <c r="G143" s="175" t="s">
        <v>149</v>
      </c>
      <c r="H143" s="175"/>
      <c r="I143" s="116">
        <f>'[1]залишки  (2)'!$G$10/1000</f>
        <v>110601.40565999999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'[1]надх'!$B$52/1000</f>
        <v>12641.810479999993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86" sqref="J8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12641.810479999993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2014-08-13T11:11:44Z</cp:lastPrinted>
  <dcterms:created xsi:type="dcterms:W3CDTF">2003-07-28T11:27:56Z</dcterms:created>
  <dcterms:modified xsi:type="dcterms:W3CDTF">2014-08-13T11:12:02Z</dcterms:modified>
  <cp:category/>
  <cp:version/>
  <cp:contentType/>
  <cp:contentStatus/>
</cp:coreProperties>
</file>